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Cash Flo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(#,##0);-"/>
    <numFmt numFmtId="166" formatCode="#,##0;(#,##0)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i val="1"/>
    </font>
    <font>
      <name val="Arial"/>
      <b val="1"/>
    </font>
    <font>
      <name val="Arial"/>
      <b val="1"/>
      <sz val="14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2D9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3" fontId="5" fillId="3" borderId="0" pivotButton="0" quotePrefix="0" xfId="0"/>
    <xf numFmtId="49" fontId="5" fillId="3" borderId="0" pivotButton="0" quotePrefix="0" xfId="0"/>
    <xf numFmtId="166" fontId="5" fillId="3" borderId="0" pivotButton="0" quotePrefix="0" xfId="0"/>
    <xf numFmtId="0" fontId="4" fillId="0" borderId="0" pivotButton="0" quotePrefix="0" xfId="0"/>
    <xf numFmtId="0" fontId="1" fillId="2" borderId="0" pivotButton="0" quotePrefix="0" xfId="0"/>
    <xf numFmtId="3" fontId="3" fillId="0" borderId="0" pivotButton="0" quotePrefix="0" xfId="0"/>
    <xf numFmtId="164" fontId="3" fillId="0" borderId="0" pivotButton="0" quotePrefix="0" xfId="0"/>
    <xf numFmtId="165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0" customWidth="1" min="1" max="1"/>
    <col width="20" customWidth="1" min="2" max="2"/>
  </cols>
  <sheetData>
    <row r="1">
      <c r="A1" s="1" t="inlineStr">
        <is>
          <t>TabTrack — 36-month cash flow &amp; break-even (illustrative)</t>
        </is>
      </c>
    </row>
    <row r="3">
      <c r="A3" s="2" t="inlineStr">
        <is>
          <t>Total launch budget (TZS)</t>
        </is>
      </c>
      <c r="B3" s="3">
        <f>Assumptions!B3+Assumptions!B5*12+Assumptions!B6+Assumptions!B7+Assumptions!B8*12+Assumptions!B9</f>
        <v/>
      </c>
    </row>
    <row r="4">
      <c r="A4" s="2" t="inlineStr">
        <is>
          <t>Revenue per venue per month (TZS)</t>
        </is>
      </c>
      <c r="B4" s="3">
        <f>Assumptions!B11+Assumptions!B12*Assumptions!B13+Assumptions!B18</f>
        <v/>
      </c>
    </row>
    <row r="5">
      <c r="A5" s="2" t="inlineStr">
        <is>
          <t>Operating break-even month (first month net cash flow ≥ 0)</t>
        </is>
      </c>
      <c r="B5" s="4">
        <f>IFERROR(INDEX('Cash Flow'!B1:AK1,MATCH(TRUE,INDEX('Cash Flow'!B16:AK16&gt;=0,0),0)),"Beyond M36")</f>
        <v/>
      </c>
    </row>
    <row r="6">
      <c r="A6" s="2" t="inlineStr">
        <is>
          <t>Venues at operating break-even</t>
        </is>
      </c>
      <c r="B6" s="3">
        <f>IFERROR(INDEX('Cash Flow'!B2:AK2,MATCH(TRUE,INDEX('Cash Flow'!B16:AK16&gt;=0,0),0)),"-")</f>
        <v/>
      </c>
    </row>
    <row r="7">
      <c r="A7" s="2" t="inlineStr">
        <is>
          <t>Lowest cash balance (TZS)</t>
        </is>
      </c>
      <c r="B7" s="5">
        <f>MIN('Cash Flow'!B18:AK18)</f>
        <v/>
      </c>
    </row>
    <row r="8">
      <c r="A8" s="2" t="inlineStr">
        <is>
          <t>Month of lowest cash</t>
        </is>
      </c>
      <c r="B8" s="4">
        <f>INDEX('Cash Flow'!B1:AK1,MATCH(B7,'Cash Flow'!B18:AK18,0))</f>
        <v/>
      </c>
    </row>
    <row r="9">
      <c r="A9" s="2" t="inlineStr">
        <is>
          <t>Payback month (cumulative result ≥ 0)</t>
        </is>
      </c>
      <c r="B9" s="4">
        <f>IFERROR(INDEX('Cash Flow'!B1:AK1,MATCH(TRUE,INDEX('Cash Flow'!B19:AK19&gt;=0,0),0)),"Beyond M36")</f>
        <v/>
      </c>
    </row>
    <row r="10">
      <c r="A10" s="2" t="inlineStr">
        <is>
          <t>Closing cash at Month 36 (TZS)</t>
        </is>
      </c>
      <c r="B10" s="5">
        <f>'Cash Flow'!AK18</f>
        <v/>
      </c>
    </row>
    <row r="11">
      <c r="A11" s="2" t="inlineStr">
        <is>
          <t>Venues at Month 36</t>
        </is>
      </c>
      <c r="B11" s="3">
        <f>'Cash Flow'!AK2</f>
        <v/>
      </c>
    </row>
    <row r="13">
      <c r="A13" s="6" t="inlineStr">
        <is>
          <t>If lowest cash is negative, the funding gap equals that amount — the bank facility should cover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7" t="inlineStr">
        <is>
          <t>Input</t>
        </is>
      </c>
      <c r="B1" s="7" t="inlineStr">
        <is>
          <t>Value</t>
        </is>
      </c>
    </row>
    <row r="2">
      <c r="A2" s="2" t="inlineStr">
        <is>
          <t>Funding received (Month 1, TZS)</t>
        </is>
      </c>
      <c r="B2" s="8" t="n">
        <v>98000000</v>
      </c>
    </row>
    <row r="3">
      <c r="A3" s="2" t="inlineStr">
        <is>
          <t>Development cost total (TZS)</t>
        </is>
      </c>
      <c r="B3" s="8" t="n">
        <v>50000000</v>
      </c>
    </row>
    <row r="4">
      <c r="A4" s="2" t="inlineStr">
        <is>
          <t>Development months</t>
        </is>
      </c>
      <c r="B4" s="8" t="n">
        <v>4</v>
      </c>
    </row>
    <row r="5">
      <c r="A5" s="2" t="inlineStr">
        <is>
          <t>Hosting per month (TZS, 18M/yr)</t>
        </is>
      </c>
      <c r="B5" s="8" t="n">
        <v>1500000</v>
      </c>
    </row>
    <row r="6">
      <c r="A6" s="2" t="inlineStr">
        <is>
          <t>Branding one-off (Month 3, TZS)</t>
        </is>
      </c>
      <c r="B6" s="8" t="n">
        <v>2000000</v>
      </c>
    </row>
    <row r="7">
      <c r="A7" s="2" t="inlineStr">
        <is>
          <t>Promotion total (Months 5-6, TZS)</t>
        </is>
      </c>
      <c r="B7" s="8" t="n">
        <v>6000000</v>
      </c>
    </row>
    <row r="8">
      <c r="A8" s="2" t="inlineStr">
        <is>
          <t>Marketing per month from Month 6 (TZS, 12M/yr)</t>
        </is>
      </c>
      <c r="B8" s="8" t="n">
        <v>1000000</v>
      </c>
    </row>
    <row r="9">
      <c r="A9" s="2" t="inlineStr">
        <is>
          <t>Monetization / gateway &amp; wallet integration total (Months 3-4, TZS)</t>
        </is>
      </c>
      <c r="B9" s="8" t="n">
        <v>10000000</v>
      </c>
    </row>
    <row r="10">
      <c r="A10" s="2" t="inlineStr">
        <is>
          <t>Team &amp; operations per month from Month 5 (TZS)</t>
        </is>
      </c>
      <c r="B10" s="8" t="n">
        <v>2000000</v>
      </c>
    </row>
    <row r="11">
      <c r="A11" s="2" t="inlineStr">
        <is>
          <t>Venue subscription per month (TZS)</t>
        </is>
      </c>
      <c r="B11" s="8" t="n">
        <v>100000</v>
      </c>
    </row>
    <row r="12">
      <c r="A12" s="2" t="inlineStr">
        <is>
          <t>Digital payments per venue per month (TZS)</t>
        </is>
      </c>
      <c r="B12" s="8" t="n">
        <v>6000000</v>
      </c>
    </row>
    <row r="13">
      <c r="A13" s="2" t="inlineStr">
        <is>
          <t>Transaction fee on online/wallet payments</t>
        </is>
      </c>
      <c r="B13" s="9" t="n">
        <v>0.01</v>
      </c>
    </row>
    <row r="14">
      <c r="A14" s="2" t="inlineStr">
        <is>
          <t>Payment gateway cost share of fee</t>
        </is>
      </c>
      <c r="B14" s="9" t="n">
        <v>0.3</v>
      </c>
    </row>
    <row r="15">
      <c r="A15" s="2" t="inlineStr">
        <is>
          <t>Pilot venues live in Month 5</t>
        </is>
      </c>
      <c r="B15" s="8" t="n">
        <v>5</v>
      </c>
    </row>
    <row r="16">
      <c r="A16" s="2" t="inlineStr">
        <is>
          <t>New venues per month, Months 6-12</t>
        </is>
      </c>
      <c r="B16" s="8" t="n">
        <v>3</v>
      </c>
    </row>
    <row r="17">
      <c r="A17" s="2" t="inlineStr">
        <is>
          <t>New venues per month, Months 13-36</t>
        </is>
      </c>
      <c r="B17" s="8" t="n">
        <v>8</v>
      </c>
    </row>
    <row r="18">
      <c r="A18" s="2" t="inlineStr">
        <is>
          <t>Wallet &amp; member fees per venue per month (TZS)</t>
        </is>
      </c>
      <c r="B18" s="8" t="n">
        <v>10000</v>
      </c>
    </row>
    <row r="20">
      <c r="A20" s="6" t="inlineStr">
        <is>
          <t>All inputs are illustrative planning assumptions (founder budget, Sept 2026). Blue = editable.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</cols>
  <sheetData>
    <row r="1">
      <c r="A1" s="7" t="inlineStr">
        <is>
          <t>Month</t>
        </is>
      </c>
      <c r="B1" s="7" t="inlineStr">
        <is>
          <t>M1</t>
        </is>
      </c>
      <c r="C1" s="7" t="inlineStr">
        <is>
          <t>M2</t>
        </is>
      </c>
      <c r="D1" s="7" t="inlineStr">
        <is>
          <t>M3</t>
        </is>
      </c>
      <c r="E1" s="7" t="inlineStr">
        <is>
          <t>M4</t>
        </is>
      </c>
      <c r="F1" s="7" t="inlineStr">
        <is>
          <t>M5</t>
        </is>
      </c>
      <c r="G1" s="7" t="inlineStr">
        <is>
          <t>M6</t>
        </is>
      </c>
      <c r="H1" s="7" t="inlineStr">
        <is>
          <t>M7</t>
        </is>
      </c>
      <c r="I1" s="7" t="inlineStr">
        <is>
          <t>M8</t>
        </is>
      </c>
      <c r="J1" s="7" t="inlineStr">
        <is>
          <t>M9</t>
        </is>
      </c>
      <c r="K1" s="7" t="inlineStr">
        <is>
          <t>M10</t>
        </is>
      </c>
      <c r="L1" s="7" t="inlineStr">
        <is>
          <t>M11</t>
        </is>
      </c>
      <c r="M1" s="7" t="inlineStr">
        <is>
          <t>M12</t>
        </is>
      </c>
      <c r="N1" s="7" t="inlineStr">
        <is>
          <t>M13</t>
        </is>
      </c>
      <c r="O1" s="7" t="inlineStr">
        <is>
          <t>M14</t>
        </is>
      </c>
      <c r="P1" s="7" t="inlineStr">
        <is>
          <t>M15</t>
        </is>
      </c>
      <c r="Q1" s="7" t="inlineStr">
        <is>
          <t>M16</t>
        </is>
      </c>
      <c r="R1" s="7" t="inlineStr">
        <is>
          <t>M17</t>
        </is>
      </c>
      <c r="S1" s="7" t="inlineStr">
        <is>
          <t>M18</t>
        </is>
      </c>
      <c r="T1" s="7" t="inlineStr">
        <is>
          <t>M19</t>
        </is>
      </c>
      <c r="U1" s="7" t="inlineStr">
        <is>
          <t>M20</t>
        </is>
      </c>
      <c r="V1" s="7" t="inlineStr">
        <is>
          <t>M21</t>
        </is>
      </c>
      <c r="W1" s="7" t="inlineStr">
        <is>
          <t>M22</t>
        </is>
      </c>
      <c r="X1" s="7" t="inlineStr">
        <is>
          <t>M23</t>
        </is>
      </c>
      <c r="Y1" s="7" t="inlineStr">
        <is>
          <t>M24</t>
        </is>
      </c>
      <c r="Z1" s="7" t="inlineStr">
        <is>
          <t>M25</t>
        </is>
      </c>
      <c r="AA1" s="7" t="inlineStr">
        <is>
          <t>M26</t>
        </is>
      </c>
      <c r="AB1" s="7" t="inlineStr">
        <is>
          <t>M27</t>
        </is>
      </c>
      <c r="AC1" s="7" t="inlineStr">
        <is>
          <t>M28</t>
        </is>
      </c>
      <c r="AD1" s="7" t="inlineStr">
        <is>
          <t>M29</t>
        </is>
      </c>
      <c r="AE1" s="7" t="inlineStr">
        <is>
          <t>M30</t>
        </is>
      </c>
      <c r="AF1" s="7" t="inlineStr">
        <is>
          <t>M31</t>
        </is>
      </c>
      <c r="AG1" s="7" t="inlineStr">
        <is>
          <t>M32</t>
        </is>
      </c>
      <c r="AH1" s="7" t="inlineStr">
        <is>
          <t>M33</t>
        </is>
      </c>
      <c r="AI1" s="7" t="inlineStr">
        <is>
          <t>M34</t>
        </is>
      </c>
      <c r="AJ1" s="7" t="inlineStr">
        <is>
          <t>M35</t>
        </is>
      </c>
      <c r="AK1" s="7" t="inlineStr">
        <is>
          <t>M36</t>
        </is>
      </c>
    </row>
    <row r="2">
      <c r="A2" s="2" t="inlineStr">
        <is>
          <t>Active venues</t>
        </is>
      </c>
      <c r="B2" s="10">
        <f>0</f>
        <v/>
      </c>
      <c r="C2" s="10">
        <f>0</f>
        <v/>
      </c>
      <c r="D2" s="10">
        <f>0</f>
        <v/>
      </c>
      <c r="E2" s="10">
        <f>0</f>
        <v/>
      </c>
      <c r="F2" s="10">
        <f>Assumptions!$B$15</f>
        <v/>
      </c>
      <c r="G2" s="10">
        <f>F2+Assumptions!$B$16</f>
        <v/>
      </c>
      <c r="H2" s="10">
        <f>G2+Assumptions!$B$16</f>
        <v/>
      </c>
      <c r="I2" s="10">
        <f>H2+Assumptions!$B$16</f>
        <v/>
      </c>
      <c r="J2" s="10">
        <f>I2+Assumptions!$B$16</f>
        <v/>
      </c>
      <c r="K2" s="10">
        <f>J2+Assumptions!$B$16</f>
        <v/>
      </c>
      <c r="L2" s="10">
        <f>K2+Assumptions!$B$16</f>
        <v/>
      </c>
      <c r="M2" s="10">
        <f>L2+Assumptions!$B$16</f>
        <v/>
      </c>
      <c r="N2" s="10">
        <f>M2+Assumptions!$B$17</f>
        <v/>
      </c>
      <c r="O2" s="10">
        <f>N2+Assumptions!$B$17</f>
        <v/>
      </c>
      <c r="P2" s="10">
        <f>O2+Assumptions!$B$17</f>
        <v/>
      </c>
      <c r="Q2" s="10">
        <f>P2+Assumptions!$B$17</f>
        <v/>
      </c>
      <c r="R2" s="10">
        <f>Q2+Assumptions!$B$17</f>
        <v/>
      </c>
      <c r="S2" s="10">
        <f>R2+Assumptions!$B$17</f>
        <v/>
      </c>
      <c r="T2" s="10">
        <f>S2+Assumptions!$B$17</f>
        <v/>
      </c>
      <c r="U2" s="10">
        <f>T2+Assumptions!$B$17</f>
        <v/>
      </c>
      <c r="V2" s="10">
        <f>U2+Assumptions!$B$17</f>
        <v/>
      </c>
      <c r="W2" s="10">
        <f>V2+Assumptions!$B$17</f>
        <v/>
      </c>
      <c r="X2" s="10">
        <f>W2+Assumptions!$B$17</f>
        <v/>
      </c>
      <c r="Y2" s="10">
        <f>X2+Assumptions!$B$17</f>
        <v/>
      </c>
      <c r="Z2" s="10">
        <f>Y2+Assumptions!$B$17</f>
        <v/>
      </c>
      <c r="AA2" s="10">
        <f>Z2+Assumptions!$B$17</f>
        <v/>
      </c>
      <c r="AB2" s="10">
        <f>AA2+Assumptions!$B$17</f>
        <v/>
      </c>
      <c r="AC2" s="10">
        <f>AB2+Assumptions!$B$17</f>
        <v/>
      </c>
      <c r="AD2" s="10">
        <f>AC2+Assumptions!$B$17</f>
        <v/>
      </c>
      <c r="AE2" s="10">
        <f>AD2+Assumptions!$B$17</f>
        <v/>
      </c>
      <c r="AF2" s="10">
        <f>AE2+Assumptions!$B$17</f>
        <v/>
      </c>
      <c r="AG2" s="10">
        <f>AF2+Assumptions!$B$17</f>
        <v/>
      </c>
      <c r="AH2" s="10">
        <f>AG2+Assumptions!$B$17</f>
        <v/>
      </c>
      <c r="AI2" s="10">
        <f>AH2+Assumptions!$B$17</f>
        <v/>
      </c>
      <c r="AJ2" s="10">
        <f>AI2+Assumptions!$B$17</f>
        <v/>
      </c>
      <c r="AK2" s="10">
        <f>AJ2+Assumptions!$B$17</f>
        <v/>
      </c>
    </row>
    <row r="3">
      <c r="A3" s="2" t="inlineStr">
        <is>
          <t>Subscription revenue</t>
        </is>
      </c>
      <c r="B3" s="10">
        <f>B2*Assumptions!$B$11</f>
        <v/>
      </c>
      <c r="C3" s="10">
        <f>C2*Assumptions!$B$11</f>
        <v/>
      </c>
      <c r="D3" s="10">
        <f>D2*Assumptions!$B$11</f>
        <v/>
      </c>
      <c r="E3" s="10">
        <f>E2*Assumptions!$B$11</f>
        <v/>
      </c>
      <c r="F3" s="10">
        <f>F2*Assumptions!$B$11</f>
        <v/>
      </c>
      <c r="G3" s="10">
        <f>G2*Assumptions!$B$11</f>
        <v/>
      </c>
      <c r="H3" s="10">
        <f>H2*Assumptions!$B$11</f>
        <v/>
      </c>
      <c r="I3" s="10">
        <f>I2*Assumptions!$B$11</f>
        <v/>
      </c>
      <c r="J3" s="10">
        <f>J2*Assumptions!$B$11</f>
        <v/>
      </c>
      <c r="K3" s="10">
        <f>K2*Assumptions!$B$11</f>
        <v/>
      </c>
      <c r="L3" s="10">
        <f>L2*Assumptions!$B$11</f>
        <v/>
      </c>
      <c r="M3" s="10">
        <f>M2*Assumptions!$B$11</f>
        <v/>
      </c>
      <c r="N3" s="10">
        <f>N2*Assumptions!$B$11</f>
        <v/>
      </c>
      <c r="O3" s="10">
        <f>O2*Assumptions!$B$11</f>
        <v/>
      </c>
      <c r="P3" s="10">
        <f>P2*Assumptions!$B$11</f>
        <v/>
      </c>
      <c r="Q3" s="10">
        <f>Q2*Assumptions!$B$11</f>
        <v/>
      </c>
      <c r="R3" s="10">
        <f>R2*Assumptions!$B$11</f>
        <v/>
      </c>
      <c r="S3" s="10">
        <f>S2*Assumptions!$B$11</f>
        <v/>
      </c>
      <c r="T3" s="10">
        <f>T2*Assumptions!$B$11</f>
        <v/>
      </c>
      <c r="U3" s="10">
        <f>U2*Assumptions!$B$11</f>
        <v/>
      </c>
      <c r="V3" s="10">
        <f>V2*Assumptions!$B$11</f>
        <v/>
      </c>
      <c r="W3" s="10">
        <f>W2*Assumptions!$B$11</f>
        <v/>
      </c>
      <c r="X3" s="10">
        <f>X2*Assumptions!$B$11</f>
        <v/>
      </c>
      <c r="Y3" s="10">
        <f>Y2*Assumptions!$B$11</f>
        <v/>
      </c>
      <c r="Z3" s="10">
        <f>Z2*Assumptions!$B$11</f>
        <v/>
      </c>
      <c r="AA3" s="10">
        <f>AA2*Assumptions!$B$11</f>
        <v/>
      </c>
      <c r="AB3" s="10">
        <f>AB2*Assumptions!$B$11</f>
        <v/>
      </c>
      <c r="AC3" s="10">
        <f>AC2*Assumptions!$B$11</f>
        <v/>
      </c>
      <c r="AD3" s="10">
        <f>AD2*Assumptions!$B$11</f>
        <v/>
      </c>
      <c r="AE3" s="10">
        <f>AE2*Assumptions!$B$11</f>
        <v/>
      </c>
      <c r="AF3" s="10">
        <f>AF2*Assumptions!$B$11</f>
        <v/>
      </c>
      <c r="AG3" s="10">
        <f>AG2*Assumptions!$B$11</f>
        <v/>
      </c>
      <c r="AH3" s="10">
        <f>AH2*Assumptions!$B$11</f>
        <v/>
      </c>
      <c r="AI3" s="10">
        <f>AI2*Assumptions!$B$11</f>
        <v/>
      </c>
      <c r="AJ3" s="10">
        <f>AJ2*Assumptions!$B$11</f>
        <v/>
      </c>
      <c r="AK3" s="10">
        <f>AK2*Assumptions!$B$11</f>
        <v/>
      </c>
    </row>
    <row r="4">
      <c r="A4" s="2" t="inlineStr">
        <is>
          <t>Transaction fees (1%)</t>
        </is>
      </c>
      <c r="B4" s="10">
        <f>B2*Assumptions!$B$12*Assumptions!$B$13</f>
        <v/>
      </c>
      <c r="C4" s="10">
        <f>C2*Assumptions!$B$12*Assumptions!$B$13</f>
        <v/>
      </c>
      <c r="D4" s="10">
        <f>D2*Assumptions!$B$12*Assumptions!$B$13</f>
        <v/>
      </c>
      <c r="E4" s="10">
        <f>E2*Assumptions!$B$12*Assumptions!$B$13</f>
        <v/>
      </c>
      <c r="F4" s="10">
        <f>F2*Assumptions!$B$12*Assumptions!$B$13</f>
        <v/>
      </c>
      <c r="G4" s="10">
        <f>G2*Assumptions!$B$12*Assumptions!$B$13</f>
        <v/>
      </c>
      <c r="H4" s="10">
        <f>H2*Assumptions!$B$12*Assumptions!$B$13</f>
        <v/>
      </c>
      <c r="I4" s="10">
        <f>I2*Assumptions!$B$12*Assumptions!$B$13</f>
        <v/>
      </c>
      <c r="J4" s="10">
        <f>J2*Assumptions!$B$12*Assumptions!$B$13</f>
        <v/>
      </c>
      <c r="K4" s="10">
        <f>K2*Assumptions!$B$12*Assumptions!$B$13</f>
        <v/>
      </c>
      <c r="L4" s="10">
        <f>L2*Assumptions!$B$12*Assumptions!$B$13</f>
        <v/>
      </c>
      <c r="M4" s="10">
        <f>M2*Assumptions!$B$12*Assumptions!$B$13</f>
        <v/>
      </c>
      <c r="N4" s="10">
        <f>N2*Assumptions!$B$12*Assumptions!$B$13</f>
        <v/>
      </c>
      <c r="O4" s="10">
        <f>O2*Assumptions!$B$12*Assumptions!$B$13</f>
        <v/>
      </c>
      <c r="P4" s="10">
        <f>P2*Assumptions!$B$12*Assumptions!$B$13</f>
        <v/>
      </c>
      <c r="Q4" s="10">
        <f>Q2*Assumptions!$B$12*Assumptions!$B$13</f>
        <v/>
      </c>
      <c r="R4" s="10">
        <f>R2*Assumptions!$B$12*Assumptions!$B$13</f>
        <v/>
      </c>
      <c r="S4" s="10">
        <f>S2*Assumptions!$B$12*Assumptions!$B$13</f>
        <v/>
      </c>
      <c r="T4" s="10">
        <f>T2*Assumptions!$B$12*Assumptions!$B$13</f>
        <v/>
      </c>
      <c r="U4" s="10">
        <f>U2*Assumptions!$B$12*Assumptions!$B$13</f>
        <v/>
      </c>
      <c r="V4" s="10">
        <f>V2*Assumptions!$B$12*Assumptions!$B$13</f>
        <v/>
      </c>
      <c r="W4" s="10">
        <f>W2*Assumptions!$B$12*Assumptions!$B$13</f>
        <v/>
      </c>
      <c r="X4" s="10">
        <f>X2*Assumptions!$B$12*Assumptions!$B$13</f>
        <v/>
      </c>
      <c r="Y4" s="10">
        <f>Y2*Assumptions!$B$12*Assumptions!$B$13</f>
        <v/>
      </c>
      <c r="Z4" s="10">
        <f>Z2*Assumptions!$B$12*Assumptions!$B$13</f>
        <v/>
      </c>
      <c r="AA4" s="10">
        <f>AA2*Assumptions!$B$12*Assumptions!$B$13</f>
        <v/>
      </c>
      <c r="AB4" s="10">
        <f>AB2*Assumptions!$B$12*Assumptions!$B$13</f>
        <v/>
      </c>
      <c r="AC4" s="10">
        <f>AC2*Assumptions!$B$12*Assumptions!$B$13</f>
        <v/>
      </c>
      <c r="AD4" s="10">
        <f>AD2*Assumptions!$B$12*Assumptions!$B$13</f>
        <v/>
      </c>
      <c r="AE4" s="10">
        <f>AE2*Assumptions!$B$12*Assumptions!$B$13</f>
        <v/>
      </c>
      <c r="AF4" s="10">
        <f>AF2*Assumptions!$B$12*Assumptions!$B$13</f>
        <v/>
      </c>
      <c r="AG4" s="10">
        <f>AG2*Assumptions!$B$12*Assumptions!$B$13</f>
        <v/>
      </c>
      <c r="AH4" s="10">
        <f>AH2*Assumptions!$B$12*Assumptions!$B$13</f>
        <v/>
      </c>
      <c r="AI4" s="10">
        <f>AI2*Assumptions!$B$12*Assumptions!$B$13</f>
        <v/>
      </c>
      <c r="AJ4" s="10">
        <f>AJ2*Assumptions!$B$12*Assumptions!$B$13</f>
        <v/>
      </c>
      <c r="AK4" s="10">
        <f>AK2*Assumptions!$B$12*Assumptions!$B$13</f>
        <v/>
      </c>
    </row>
    <row r="5">
      <c r="A5" s="2" t="inlineStr">
        <is>
          <t>Wallet &amp; member fees</t>
        </is>
      </c>
      <c r="B5" s="10">
        <f>B2*Assumptions!$B$18</f>
        <v/>
      </c>
      <c r="C5" s="10">
        <f>C2*Assumptions!$B$18</f>
        <v/>
      </c>
      <c r="D5" s="10">
        <f>D2*Assumptions!$B$18</f>
        <v/>
      </c>
      <c r="E5" s="10">
        <f>E2*Assumptions!$B$18</f>
        <v/>
      </c>
      <c r="F5" s="10">
        <f>F2*Assumptions!$B$18</f>
        <v/>
      </c>
      <c r="G5" s="10">
        <f>G2*Assumptions!$B$18</f>
        <v/>
      </c>
      <c r="H5" s="10">
        <f>H2*Assumptions!$B$18</f>
        <v/>
      </c>
      <c r="I5" s="10">
        <f>I2*Assumptions!$B$18</f>
        <v/>
      </c>
      <c r="J5" s="10">
        <f>J2*Assumptions!$B$18</f>
        <v/>
      </c>
      <c r="K5" s="10">
        <f>K2*Assumptions!$B$18</f>
        <v/>
      </c>
      <c r="L5" s="10">
        <f>L2*Assumptions!$B$18</f>
        <v/>
      </c>
      <c r="M5" s="10">
        <f>M2*Assumptions!$B$18</f>
        <v/>
      </c>
      <c r="N5" s="10">
        <f>N2*Assumptions!$B$18</f>
        <v/>
      </c>
      <c r="O5" s="10">
        <f>O2*Assumptions!$B$18</f>
        <v/>
      </c>
      <c r="P5" s="10">
        <f>P2*Assumptions!$B$18</f>
        <v/>
      </c>
      <c r="Q5" s="10">
        <f>Q2*Assumptions!$B$18</f>
        <v/>
      </c>
      <c r="R5" s="10">
        <f>R2*Assumptions!$B$18</f>
        <v/>
      </c>
      <c r="S5" s="10">
        <f>S2*Assumptions!$B$18</f>
        <v/>
      </c>
      <c r="T5" s="10">
        <f>T2*Assumptions!$B$18</f>
        <v/>
      </c>
      <c r="U5" s="10">
        <f>U2*Assumptions!$B$18</f>
        <v/>
      </c>
      <c r="V5" s="10">
        <f>V2*Assumptions!$B$18</f>
        <v/>
      </c>
      <c r="W5" s="10">
        <f>W2*Assumptions!$B$18</f>
        <v/>
      </c>
      <c r="X5" s="10">
        <f>X2*Assumptions!$B$18</f>
        <v/>
      </c>
      <c r="Y5" s="10">
        <f>Y2*Assumptions!$B$18</f>
        <v/>
      </c>
      <c r="Z5" s="10">
        <f>Z2*Assumptions!$B$18</f>
        <v/>
      </c>
      <c r="AA5" s="10">
        <f>AA2*Assumptions!$B$18</f>
        <v/>
      </c>
      <c r="AB5" s="10">
        <f>AB2*Assumptions!$B$18</f>
        <v/>
      </c>
      <c r="AC5" s="10">
        <f>AC2*Assumptions!$B$18</f>
        <v/>
      </c>
      <c r="AD5" s="10">
        <f>AD2*Assumptions!$B$18</f>
        <v/>
      </c>
      <c r="AE5" s="10">
        <f>AE2*Assumptions!$B$18</f>
        <v/>
      </c>
      <c r="AF5" s="10">
        <f>AF2*Assumptions!$B$18</f>
        <v/>
      </c>
      <c r="AG5" s="10">
        <f>AG2*Assumptions!$B$18</f>
        <v/>
      </c>
      <c r="AH5" s="10">
        <f>AH2*Assumptions!$B$18</f>
        <v/>
      </c>
      <c r="AI5" s="10">
        <f>AI2*Assumptions!$B$18</f>
        <v/>
      </c>
      <c r="AJ5" s="10">
        <f>AJ2*Assumptions!$B$18</f>
        <v/>
      </c>
      <c r="AK5" s="10">
        <f>AK2*Assumptions!$B$18</f>
        <v/>
      </c>
    </row>
    <row r="6">
      <c r="A6" s="11" t="inlineStr">
        <is>
          <t>Total revenue</t>
        </is>
      </c>
      <c r="B6" s="10">
        <f>SUM(B3:B5)</f>
        <v/>
      </c>
      <c r="C6" s="10">
        <f>SUM(C3:C5)</f>
        <v/>
      </c>
      <c r="D6" s="10">
        <f>SUM(D3:D5)</f>
        <v/>
      </c>
      <c r="E6" s="10">
        <f>SUM(E3:E5)</f>
        <v/>
      </c>
      <c r="F6" s="10">
        <f>SUM(F3:F5)</f>
        <v/>
      </c>
      <c r="G6" s="10">
        <f>SUM(G3:G5)</f>
        <v/>
      </c>
      <c r="H6" s="10">
        <f>SUM(H3:H5)</f>
        <v/>
      </c>
      <c r="I6" s="10">
        <f>SUM(I3:I5)</f>
        <v/>
      </c>
      <c r="J6" s="10">
        <f>SUM(J3:J5)</f>
        <v/>
      </c>
      <c r="K6" s="10">
        <f>SUM(K3:K5)</f>
        <v/>
      </c>
      <c r="L6" s="10">
        <f>SUM(L3:L5)</f>
        <v/>
      </c>
      <c r="M6" s="10">
        <f>SUM(M3:M5)</f>
        <v/>
      </c>
      <c r="N6" s="10">
        <f>SUM(N3:N5)</f>
        <v/>
      </c>
      <c r="O6" s="10">
        <f>SUM(O3:O5)</f>
        <v/>
      </c>
      <c r="P6" s="10">
        <f>SUM(P3:P5)</f>
        <v/>
      </c>
      <c r="Q6" s="10">
        <f>SUM(Q3:Q5)</f>
        <v/>
      </c>
      <c r="R6" s="10">
        <f>SUM(R3:R5)</f>
        <v/>
      </c>
      <c r="S6" s="10">
        <f>SUM(S3:S5)</f>
        <v/>
      </c>
      <c r="T6" s="10">
        <f>SUM(T3:T5)</f>
        <v/>
      </c>
      <c r="U6" s="10">
        <f>SUM(U3:U5)</f>
        <v/>
      </c>
      <c r="V6" s="10">
        <f>SUM(V3:V5)</f>
        <v/>
      </c>
      <c r="W6" s="10">
        <f>SUM(W3:W5)</f>
        <v/>
      </c>
      <c r="X6" s="10">
        <f>SUM(X3:X5)</f>
        <v/>
      </c>
      <c r="Y6" s="10">
        <f>SUM(Y3:Y5)</f>
        <v/>
      </c>
      <c r="Z6" s="10">
        <f>SUM(Z3:Z5)</f>
        <v/>
      </c>
      <c r="AA6" s="10">
        <f>SUM(AA3:AA5)</f>
        <v/>
      </c>
      <c r="AB6" s="10">
        <f>SUM(AB3:AB5)</f>
        <v/>
      </c>
      <c r="AC6" s="10">
        <f>SUM(AC3:AC5)</f>
        <v/>
      </c>
      <c r="AD6" s="10">
        <f>SUM(AD3:AD5)</f>
        <v/>
      </c>
      <c r="AE6" s="10">
        <f>SUM(AE3:AE5)</f>
        <v/>
      </c>
      <c r="AF6" s="10">
        <f>SUM(AF3:AF5)</f>
        <v/>
      </c>
      <c r="AG6" s="10">
        <f>SUM(AG3:AG5)</f>
        <v/>
      </c>
      <c r="AH6" s="10">
        <f>SUM(AH3:AH5)</f>
        <v/>
      </c>
      <c r="AI6" s="10">
        <f>SUM(AI3:AI5)</f>
        <v/>
      </c>
      <c r="AJ6" s="10">
        <f>SUM(AJ3:AJ5)</f>
        <v/>
      </c>
      <c r="AK6" s="10">
        <f>SUM(AK3:AK5)</f>
        <v/>
      </c>
    </row>
    <row r="7">
      <c r="A7" s="2" t="inlineStr">
        <is>
          <t>Development</t>
        </is>
      </c>
      <c r="B7" s="10">
        <f>IF(1&lt;=Assumptions!$B$4,Assumptions!$B$3/Assumptions!$B$4,0)</f>
        <v/>
      </c>
      <c r="C7" s="10">
        <f>IF(2&lt;=Assumptions!$B$4,Assumptions!$B$3/Assumptions!$B$4,0)</f>
        <v/>
      </c>
      <c r="D7" s="10">
        <f>IF(3&lt;=Assumptions!$B$4,Assumptions!$B$3/Assumptions!$B$4,0)</f>
        <v/>
      </c>
      <c r="E7" s="10">
        <f>IF(4&lt;=Assumptions!$B$4,Assumptions!$B$3/Assumptions!$B$4,0)</f>
        <v/>
      </c>
      <c r="F7" s="10">
        <f>IF(5&lt;=Assumptions!$B$4,Assumptions!$B$3/Assumptions!$B$4,0)</f>
        <v/>
      </c>
      <c r="G7" s="10">
        <f>IF(6&lt;=Assumptions!$B$4,Assumptions!$B$3/Assumptions!$B$4,0)</f>
        <v/>
      </c>
      <c r="H7" s="10">
        <f>IF(7&lt;=Assumptions!$B$4,Assumptions!$B$3/Assumptions!$B$4,0)</f>
        <v/>
      </c>
      <c r="I7" s="10">
        <f>IF(8&lt;=Assumptions!$B$4,Assumptions!$B$3/Assumptions!$B$4,0)</f>
        <v/>
      </c>
      <c r="J7" s="10">
        <f>IF(9&lt;=Assumptions!$B$4,Assumptions!$B$3/Assumptions!$B$4,0)</f>
        <v/>
      </c>
      <c r="K7" s="10">
        <f>IF(10&lt;=Assumptions!$B$4,Assumptions!$B$3/Assumptions!$B$4,0)</f>
        <v/>
      </c>
      <c r="L7" s="10">
        <f>IF(11&lt;=Assumptions!$B$4,Assumptions!$B$3/Assumptions!$B$4,0)</f>
        <v/>
      </c>
      <c r="M7" s="10">
        <f>IF(12&lt;=Assumptions!$B$4,Assumptions!$B$3/Assumptions!$B$4,0)</f>
        <v/>
      </c>
      <c r="N7" s="10">
        <f>IF(13&lt;=Assumptions!$B$4,Assumptions!$B$3/Assumptions!$B$4,0)</f>
        <v/>
      </c>
      <c r="O7" s="10">
        <f>IF(14&lt;=Assumptions!$B$4,Assumptions!$B$3/Assumptions!$B$4,0)</f>
        <v/>
      </c>
      <c r="P7" s="10">
        <f>IF(15&lt;=Assumptions!$B$4,Assumptions!$B$3/Assumptions!$B$4,0)</f>
        <v/>
      </c>
      <c r="Q7" s="10">
        <f>IF(16&lt;=Assumptions!$B$4,Assumptions!$B$3/Assumptions!$B$4,0)</f>
        <v/>
      </c>
      <c r="R7" s="10">
        <f>IF(17&lt;=Assumptions!$B$4,Assumptions!$B$3/Assumptions!$B$4,0)</f>
        <v/>
      </c>
      <c r="S7" s="10">
        <f>IF(18&lt;=Assumptions!$B$4,Assumptions!$B$3/Assumptions!$B$4,0)</f>
        <v/>
      </c>
      <c r="T7" s="10">
        <f>IF(19&lt;=Assumptions!$B$4,Assumptions!$B$3/Assumptions!$B$4,0)</f>
        <v/>
      </c>
      <c r="U7" s="10">
        <f>IF(20&lt;=Assumptions!$B$4,Assumptions!$B$3/Assumptions!$B$4,0)</f>
        <v/>
      </c>
      <c r="V7" s="10">
        <f>IF(21&lt;=Assumptions!$B$4,Assumptions!$B$3/Assumptions!$B$4,0)</f>
        <v/>
      </c>
      <c r="W7" s="10">
        <f>IF(22&lt;=Assumptions!$B$4,Assumptions!$B$3/Assumptions!$B$4,0)</f>
        <v/>
      </c>
      <c r="X7" s="10">
        <f>IF(23&lt;=Assumptions!$B$4,Assumptions!$B$3/Assumptions!$B$4,0)</f>
        <v/>
      </c>
      <c r="Y7" s="10">
        <f>IF(24&lt;=Assumptions!$B$4,Assumptions!$B$3/Assumptions!$B$4,0)</f>
        <v/>
      </c>
      <c r="Z7" s="10">
        <f>IF(25&lt;=Assumptions!$B$4,Assumptions!$B$3/Assumptions!$B$4,0)</f>
        <v/>
      </c>
      <c r="AA7" s="10">
        <f>IF(26&lt;=Assumptions!$B$4,Assumptions!$B$3/Assumptions!$B$4,0)</f>
        <v/>
      </c>
      <c r="AB7" s="10">
        <f>IF(27&lt;=Assumptions!$B$4,Assumptions!$B$3/Assumptions!$B$4,0)</f>
        <v/>
      </c>
      <c r="AC7" s="10">
        <f>IF(28&lt;=Assumptions!$B$4,Assumptions!$B$3/Assumptions!$B$4,0)</f>
        <v/>
      </c>
      <c r="AD7" s="10">
        <f>IF(29&lt;=Assumptions!$B$4,Assumptions!$B$3/Assumptions!$B$4,0)</f>
        <v/>
      </c>
      <c r="AE7" s="10">
        <f>IF(30&lt;=Assumptions!$B$4,Assumptions!$B$3/Assumptions!$B$4,0)</f>
        <v/>
      </c>
      <c r="AF7" s="10">
        <f>IF(31&lt;=Assumptions!$B$4,Assumptions!$B$3/Assumptions!$B$4,0)</f>
        <v/>
      </c>
      <c r="AG7" s="10">
        <f>IF(32&lt;=Assumptions!$B$4,Assumptions!$B$3/Assumptions!$B$4,0)</f>
        <v/>
      </c>
      <c r="AH7" s="10">
        <f>IF(33&lt;=Assumptions!$B$4,Assumptions!$B$3/Assumptions!$B$4,0)</f>
        <v/>
      </c>
      <c r="AI7" s="10">
        <f>IF(34&lt;=Assumptions!$B$4,Assumptions!$B$3/Assumptions!$B$4,0)</f>
        <v/>
      </c>
      <c r="AJ7" s="10">
        <f>IF(35&lt;=Assumptions!$B$4,Assumptions!$B$3/Assumptions!$B$4,0)</f>
        <v/>
      </c>
      <c r="AK7" s="10">
        <f>IF(36&lt;=Assumptions!$B$4,Assumptions!$B$3/Assumptions!$B$4,0)</f>
        <v/>
      </c>
    </row>
    <row r="8">
      <c r="A8" s="2" t="inlineStr">
        <is>
          <t>Hosting</t>
        </is>
      </c>
      <c r="B8" s="10">
        <f>Assumptions!$B$5</f>
        <v/>
      </c>
      <c r="C8" s="10">
        <f>Assumptions!$B$5</f>
        <v/>
      </c>
      <c r="D8" s="10">
        <f>Assumptions!$B$5</f>
        <v/>
      </c>
      <c r="E8" s="10">
        <f>Assumptions!$B$5</f>
        <v/>
      </c>
      <c r="F8" s="10">
        <f>Assumptions!$B$5</f>
        <v/>
      </c>
      <c r="G8" s="10">
        <f>Assumptions!$B$5</f>
        <v/>
      </c>
      <c r="H8" s="10">
        <f>Assumptions!$B$5</f>
        <v/>
      </c>
      <c r="I8" s="10">
        <f>Assumptions!$B$5</f>
        <v/>
      </c>
      <c r="J8" s="10">
        <f>Assumptions!$B$5</f>
        <v/>
      </c>
      <c r="K8" s="10">
        <f>Assumptions!$B$5</f>
        <v/>
      </c>
      <c r="L8" s="10">
        <f>Assumptions!$B$5</f>
        <v/>
      </c>
      <c r="M8" s="10">
        <f>Assumptions!$B$5</f>
        <v/>
      </c>
      <c r="N8" s="10">
        <f>Assumptions!$B$5</f>
        <v/>
      </c>
      <c r="O8" s="10">
        <f>Assumptions!$B$5</f>
        <v/>
      </c>
      <c r="P8" s="10">
        <f>Assumptions!$B$5</f>
        <v/>
      </c>
      <c r="Q8" s="10">
        <f>Assumptions!$B$5</f>
        <v/>
      </c>
      <c r="R8" s="10">
        <f>Assumptions!$B$5</f>
        <v/>
      </c>
      <c r="S8" s="10">
        <f>Assumptions!$B$5</f>
        <v/>
      </c>
      <c r="T8" s="10">
        <f>Assumptions!$B$5</f>
        <v/>
      </c>
      <c r="U8" s="10">
        <f>Assumptions!$B$5</f>
        <v/>
      </c>
      <c r="V8" s="10">
        <f>Assumptions!$B$5</f>
        <v/>
      </c>
      <c r="W8" s="10">
        <f>Assumptions!$B$5</f>
        <v/>
      </c>
      <c r="X8" s="10">
        <f>Assumptions!$B$5</f>
        <v/>
      </c>
      <c r="Y8" s="10">
        <f>Assumptions!$B$5</f>
        <v/>
      </c>
      <c r="Z8" s="10">
        <f>Assumptions!$B$5</f>
        <v/>
      </c>
      <c r="AA8" s="10">
        <f>Assumptions!$B$5</f>
        <v/>
      </c>
      <c r="AB8" s="10">
        <f>Assumptions!$B$5</f>
        <v/>
      </c>
      <c r="AC8" s="10">
        <f>Assumptions!$B$5</f>
        <v/>
      </c>
      <c r="AD8" s="10">
        <f>Assumptions!$B$5</f>
        <v/>
      </c>
      <c r="AE8" s="10">
        <f>Assumptions!$B$5</f>
        <v/>
      </c>
      <c r="AF8" s="10">
        <f>Assumptions!$B$5</f>
        <v/>
      </c>
      <c r="AG8" s="10">
        <f>Assumptions!$B$5</f>
        <v/>
      </c>
      <c r="AH8" s="10">
        <f>Assumptions!$B$5</f>
        <v/>
      </c>
      <c r="AI8" s="10">
        <f>Assumptions!$B$5</f>
        <v/>
      </c>
      <c r="AJ8" s="10">
        <f>Assumptions!$B$5</f>
        <v/>
      </c>
      <c r="AK8" s="10">
        <f>Assumptions!$B$5</f>
        <v/>
      </c>
    </row>
    <row r="9">
      <c r="A9" s="2" t="inlineStr">
        <is>
          <t>Branding</t>
        </is>
      </c>
      <c r="B9" s="10">
        <f>IF(1=3,Assumptions!$B$6,0)</f>
        <v/>
      </c>
      <c r="C9" s="10">
        <f>IF(2=3,Assumptions!$B$6,0)</f>
        <v/>
      </c>
      <c r="D9" s="10">
        <f>IF(3=3,Assumptions!$B$6,0)</f>
        <v/>
      </c>
      <c r="E9" s="10">
        <f>IF(4=3,Assumptions!$B$6,0)</f>
        <v/>
      </c>
      <c r="F9" s="10">
        <f>IF(5=3,Assumptions!$B$6,0)</f>
        <v/>
      </c>
      <c r="G9" s="10">
        <f>IF(6=3,Assumptions!$B$6,0)</f>
        <v/>
      </c>
      <c r="H9" s="10">
        <f>IF(7=3,Assumptions!$B$6,0)</f>
        <v/>
      </c>
      <c r="I9" s="10">
        <f>IF(8=3,Assumptions!$B$6,0)</f>
        <v/>
      </c>
      <c r="J9" s="10">
        <f>IF(9=3,Assumptions!$B$6,0)</f>
        <v/>
      </c>
      <c r="K9" s="10">
        <f>IF(10=3,Assumptions!$B$6,0)</f>
        <v/>
      </c>
      <c r="L9" s="10">
        <f>IF(11=3,Assumptions!$B$6,0)</f>
        <v/>
      </c>
      <c r="M9" s="10">
        <f>IF(12=3,Assumptions!$B$6,0)</f>
        <v/>
      </c>
      <c r="N9" s="10">
        <f>IF(13=3,Assumptions!$B$6,0)</f>
        <v/>
      </c>
      <c r="O9" s="10">
        <f>IF(14=3,Assumptions!$B$6,0)</f>
        <v/>
      </c>
      <c r="P9" s="10">
        <f>IF(15=3,Assumptions!$B$6,0)</f>
        <v/>
      </c>
      <c r="Q9" s="10">
        <f>IF(16=3,Assumptions!$B$6,0)</f>
        <v/>
      </c>
      <c r="R9" s="10">
        <f>IF(17=3,Assumptions!$B$6,0)</f>
        <v/>
      </c>
      <c r="S9" s="10">
        <f>IF(18=3,Assumptions!$B$6,0)</f>
        <v/>
      </c>
      <c r="T9" s="10">
        <f>IF(19=3,Assumptions!$B$6,0)</f>
        <v/>
      </c>
      <c r="U9" s="10">
        <f>IF(20=3,Assumptions!$B$6,0)</f>
        <v/>
      </c>
      <c r="V9" s="10">
        <f>IF(21=3,Assumptions!$B$6,0)</f>
        <v/>
      </c>
      <c r="W9" s="10">
        <f>IF(22=3,Assumptions!$B$6,0)</f>
        <v/>
      </c>
      <c r="X9" s="10">
        <f>IF(23=3,Assumptions!$B$6,0)</f>
        <v/>
      </c>
      <c r="Y9" s="10">
        <f>IF(24=3,Assumptions!$B$6,0)</f>
        <v/>
      </c>
      <c r="Z9" s="10">
        <f>IF(25=3,Assumptions!$B$6,0)</f>
        <v/>
      </c>
      <c r="AA9" s="10">
        <f>IF(26=3,Assumptions!$B$6,0)</f>
        <v/>
      </c>
      <c r="AB9" s="10">
        <f>IF(27=3,Assumptions!$B$6,0)</f>
        <v/>
      </c>
      <c r="AC9" s="10">
        <f>IF(28=3,Assumptions!$B$6,0)</f>
        <v/>
      </c>
      <c r="AD9" s="10">
        <f>IF(29=3,Assumptions!$B$6,0)</f>
        <v/>
      </c>
      <c r="AE9" s="10">
        <f>IF(30=3,Assumptions!$B$6,0)</f>
        <v/>
      </c>
      <c r="AF9" s="10">
        <f>IF(31=3,Assumptions!$B$6,0)</f>
        <v/>
      </c>
      <c r="AG9" s="10">
        <f>IF(32=3,Assumptions!$B$6,0)</f>
        <v/>
      </c>
      <c r="AH9" s="10">
        <f>IF(33=3,Assumptions!$B$6,0)</f>
        <v/>
      </c>
      <c r="AI9" s="10">
        <f>IF(34=3,Assumptions!$B$6,0)</f>
        <v/>
      </c>
      <c r="AJ9" s="10">
        <f>IF(35=3,Assumptions!$B$6,0)</f>
        <v/>
      </c>
      <c r="AK9" s="10">
        <f>IF(36=3,Assumptions!$B$6,0)</f>
        <v/>
      </c>
    </row>
    <row r="10">
      <c r="A10" s="2" t="inlineStr">
        <is>
          <t>Promotion</t>
        </is>
      </c>
      <c r="B10" s="10">
        <f>IF(OR(1=5,1=6),Assumptions!$B$7/2,0)</f>
        <v/>
      </c>
      <c r="C10" s="10">
        <f>IF(OR(2=5,2=6),Assumptions!$B$7/2,0)</f>
        <v/>
      </c>
      <c r="D10" s="10">
        <f>IF(OR(3=5,3=6),Assumptions!$B$7/2,0)</f>
        <v/>
      </c>
      <c r="E10" s="10">
        <f>IF(OR(4=5,4=6),Assumptions!$B$7/2,0)</f>
        <v/>
      </c>
      <c r="F10" s="10">
        <f>IF(OR(5=5,5=6),Assumptions!$B$7/2,0)</f>
        <v/>
      </c>
      <c r="G10" s="10">
        <f>IF(OR(6=5,6=6),Assumptions!$B$7/2,0)</f>
        <v/>
      </c>
      <c r="H10" s="10">
        <f>IF(OR(7=5,7=6),Assumptions!$B$7/2,0)</f>
        <v/>
      </c>
      <c r="I10" s="10">
        <f>IF(OR(8=5,8=6),Assumptions!$B$7/2,0)</f>
        <v/>
      </c>
      <c r="J10" s="10">
        <f>IF(OR(9=5,9=6),Assumptions!$B$7/2,0)</f>
        <v/>
      </c>
      <c r="K10" s="10">
        <f>IF(OR(10=5,10=6),Assumptions!$B$7/2,0)</f>
        <v/>
      </c>
      <c r="L10" s="10">
        <f>IF(OR(11=5,11=6),Assumptions!$B$7/2,0)</f>
        <v/>
      </c>
      <c r="M10" s="10">
        <f>IF(OR(12=5,12=6),Assumptions!$B$7/2,0)</f>
        <v/>
      </c>
      <c r="N10" s="10">
        <f>IF(OR(13=5,13=6),Assumptions!$B$7/2,0)</f>
        <v/>
      </c>
      <c r="O10" s="10">
        <f>IF(OR(14=5,14=6),Assumptions!$B$7/2,0)</f>
        <v/>
      </c>
      <c r="P10" s="10">
        <f>IF(OR(15=5,15=6),Assumptions!$B$7/2,0)</f>
        <v/>
      </c>
      <c r="Q10" s="10">
        <f>IF(OR(16=5,16=6),Assumptions!$B$7/2,0)</f>
        <v/>
      </c>
      <c r="R10" s="10">
        <f>IF(OR(17=5,17=6),Assumptions!$B$7/2,0)</f>
        <v/>
      </c>
      <c r="S10" s="10">
        <f>IF(OR(18=5,18=6),Assumptions!$B$7/2,0)</f>
        <v/>
      </c>
      <c r="T10" s="10">
        <f>IF(OR(19=5,19=6),Assumptions!$B$7/2,0)</f>
        <v/>
      </c>
      <c r="U10" s="10">
        <f>IF(OR(20=5,20=6),Assumptions!$B$7/2,0)</f>
        <v/>
      </c>
      <c r="V10" s="10">
        <f>IF(OR(21=5,21=6),Assumptions!$B$7/2,0)</f>
        <v/>
      </c>
      <c r="W10" s="10">
        <f>IF(OR(22=5,22=6),Assumptions!$B$7/2,0)</f>
        <v/>
      </c>
      <c r="X10" s="10">
        <f>IF(OR(23=5,23=6),Assumptions!$B$7/2,0)</f>
        <v/>
      </c>
      <c r="Y10" s="10">
        <f>IF(OR(24=5,24=6),Assumptions!$B$7/2,0)</f>
        <v/>
      </c>
      <c r="Z10" s="10">
        <f>IF(OR(25=5,25=6),Assumptions!$B$7/2,0)</f>
        <v/>
      </c>
      <c r="AA10" s="10">
        <f>IF(OR(26=5,26=6),Assumptions!$B$7/2,0)</f>
        <v/>
      </c>
      <c r="AB10" s="10">
        <f>IF(OR(27=5,27=6),Assumptions!$B$7/2,0)</f>
        <v/>
      </c>
      <c r="AC10" s="10">
        <f>IF(OR(28=5,28=6),Assumptions!$B$7/2,0)</f>
        <v/>
      </c>
      <c r="AD10" s="10">
        <f>IF(OR(29=5,29=6),Assumptions!$B$7/2,0)</f>
        <v/>
      </c>
      <c r="AE10" s="10">
        <f>IF(OR(30=5,30=6),Assumptions!$B$7/2,0)</f>
        <v/>
      </c>
      <c r="AF10" s="10">
        <f>IF(OR(31=5,31=6),Assumptions!$B$7/2,0)</f>
        <v/>
      </c>
      <c r="AG10" s="10">
        <f>IF(OR(32=5,32=6),Assumptions!$B$7/2,0)</f>
        <v/>
      </c>
      <c r="AH10" s="10">
        <f>IF(OR(33=5,33=6),Assumptions!$B$7/2,0)</f>
        <v/>
      </c>
      <c r="AI10" s="10">
        <f>IF(OR(34=5,34=6),Assumptions!$B$7/2,0)</f>
        <v/>
      </c>
      <c r="AJ10" s="10">
        <f>IF(OR(35=5,35=6),Assumptions!$B$7/2,0)</f>
        <v/>
      </c>
      <c r="AK10" s="10">
        <f>IF(OR(36=5,36=6),Assumptions!$B$7/2,0)</f>
        <v/>
      </c>
    </row>
    <row r="11">
      <c r="A11" s="2" t="inlineStr">
        <is>
          <t>Marketing</t>
        </is>
      </c>
      <c r="B11" s="10">
        <f>IF(1&gt;=6,Assumptions!$B$8,0)</f>
        <v/>
      </c>
      <c r="C11" s="10">
        <f>IF(2&gt;=6,Assumptions!$B$8,0)</f>
        <v/>
      </c>
      <c r="D11" s="10">
        <f>IF(3&gt;=6,Assumptions!$B$8,0)</f>
        <v/>
      </c>
      <c r="E11" s="10">
        <f>IF(4&gt;=6,Assumptions!$B$8,0)</f>
        <v/>
      </c>
      <c r="F11" s="10">
        <f>IF(5&gt;=6,Assumptions!$B$8,0)</f>
        <v/>
      </c>
      <c r="G11" s="10">
        <f>IF(6&gt;=6,Assumptions!$B$8,0)</f>
        <v/>
      </c>
      <c r="H11" s="10">
        <f>IF(7&gt;=6,Assumptions!$B$8,0)</f>
        <v/>
      </c>
      <c r="I11" s="10">
        <f>IF(8&gt;=6,Assumptions!$B$8,0)</f>
        <v/>
      </c>
      <c r="J11" s="10">
        <f>IF(9&gt;=6,Assumptions!$B$8,0)</f>
        <v/>
      </c>
      <c r="K11" s="10">
        <f>IF(10&gt;=6,Assumptions!$B$8,0)</f>
        <v/>
      </c>
      <c r="L11" s="10">
        <f>IF(11&gt;=6,Assumptions!$B$8,0)</f>
        <v/>
      </c>
      <c r="M11" s="10">
        <f>IF(12&gt;=6,Assumptions!$B$8,0)</f>
        <v/>
      </c>
      <c r="N11" s="10">
        <f>IF(13&gt;=6,Assumptions!$B$8,0)</f>
        <v/>
      </c>
      <c r="O11" s="10">
        <f>IF(14&gt;=6,Assumptions!$B$8,0)</f>
        <v/>
      </c>
      <c r="P11" s="10">
        <f>IF(15&gt;=6,Assumptions!$B$8,0)</f>
        <v/>
      </c>
      <c r="Q11" s="10">
        <f>IF(16&gt;=6,Assumptions!$B$8,0)</f>
        <v/>
      </c>
      <c r="R11" s="10">
        <f>IF(17&gt;=6,Assumptions!$B$8,0)</f>
        <v/>
      </c>
      <c r="S11" s="10">
        <f>IF(18&gt;=6,Assumptions!$B$8,0)</f>
        <v/>
      </c>
      <c r="T11" s="10">
        <f>IF(19&gt;=6,Assumptions!$B$8,0)</f>
        <v/>
      </c>
      <c r="U11" s="10">
        <f>IF(20&gt;=6,Assumptions!$B$8,0)</f>
        <v/>
      </c>
      <c r="V11" s="10">
        <f>IF(21&gt;=6,Assumptions!$B$8,0)</f>
        <v/>
      </c>
      <c r="W11" s="10">
        <f>IF(22&gt;=6,Assumptions!$B$8,0)</f>
        <v/>
      </c>
      <c r="X11" s="10">
        <f>IF(23&gt;=6,Assumptions!$B$8,0)</f>
        <v/>
      </c>
      <c r="Y11" s="10">
        <f>IF(24&gt;=6,Assumptions!$B$8,0)</f>
        <v/>
      </c>
      <c r="Z11" s="10">
        <f>IF(25&gt;=6,Assumptions!$B$8,0)</f>
        <v/>
      </c>
      <c r="AA11" s="10">
        <f>IF(26&gt;=6,Assumptions!$B$8,0)</f>
        <v/>
      </c>
      <c r="AB11" s="10">
        <f>IF(27&gt;=6,Assumptions!$B$8,0)</f>
        <v/>
      </c>
      <c r="AC11" s="10">
        <f>IF(28&gt;=6,Assumptions!$B$8,0)</f>
        <v/>
      </c>
      <c r="AD11" s="10">
        <f>IF(29&gt;=6,Assumptions!$B$8,0)</f>
        <v/>
      </c>
      <c r="AE11" s="10">
        <f>IF(30&gt;=6,Assumptions!$B$8,0)</f>
        <v/>
      </c>
      <c r="AF11" s="10">
        <f>IF(31&gt;=6,Assumptions!$B$8,0)</f>
        <v/>
      </c>
      <c r="AG11" s="10">
        <f>IF(32&gt;=6,Assumptions!$B$8,0)</f>
        <v/>
      </c>
      <c r="AH11" s="10">
        <f>IF(33&gt;=6,Assumptions!$B$8,0)</f>
        <v/>
      </c>
      <c r="AI11" s="10">
        <f>IF(34&gt;=6,Assumptions!$B$8,0)</f>
        <v/>
      </c>
      <c r="AJ11" s="10">
        <f>IF(35&gt;=6,Assumptions!$B$8,0)</f>
        <v/>
      </c>
      <c r="AK11" s="10">
        <f>IF(36&gt;=6,Assumptions!$B$8,0)</f>
        <v/>
      </c>
    </row>
    <row r="12">
      <c r="A12" s="2" t="inlineStr">
        <is>
          <t>Monetization</t>
        </is>
      </c>
      <c r="B12" s="10">
        <f>IF(OR(1=3,1=4),Assumptions!$B$9/2,0)</f>
        <v/>
      </c>
      <c r="C12" s="10">
        <f>IF(OR(2=3,2=4),Assumptions!$B$9/2,0)</f>
        <v/>
      </c>
      <c r="D12" s="10">
        <f>IF(OR(3=3,3=4),Assumptions!$B$9/2,0)</f>
        <v/>
      </c>
      <c r="E12" s="10">
        <f>IF(OR(4=3,4=4),Assumptions!$B$9/2,0)</f>
        <v/>
      </c>
      <c r="F12" s="10">
        <f>IF(OR(5=3,5=4),Assumptions!$B$9/2,0)</f>
        <v/>
      </c>
      <c r="G12" s="10">
        <f>IF(OR(6=3,6=4),Assumptions!$B$9/2,0)</f>
        <v/>
      </c>
      <c r="H12" s="10">
        <f>IF(OR(7=3,7=4),Assumptions!$B$9/2,0)</f>
        <v/>
      </c>
      <c r="I12" s="10">
        <f>IF(OR(8=3,8=4),Assumptions!$B$9/2,0)</f>
        <v/>
      </c>
      <c r="J12" s="10">
        <f>IF(OR(9=3,9=4),Assumptions!$B$9/2,0)</f>
        <v/>
      </c>
      <c r="K12" s="10">
        <f>IF(OR(10=3,10=4),Assumptions!$B$9/2,0)</f>
        <v/>
      </c>
      <c r="L12" s="10">
        <f>IF(OR(11=3,11=4),Assumptions!$B$9/2,0)</f>
        <v/>
      </c>
      <c r="M12" s="10">
        <f>IF(OR(12=3,12=4),Assumptions!$B$9/2,0)</f>
        <v/>
      </c>
      <c r="N12" s="10">
        <f>IF(OR(13=3,13=4),Assumptions!$B$9/2,0)</f>
        <v/>
      </c>
      <c r="O12" s="10">
        <f>IF(OR(14=3,14=4),Assumptions!$B$9/2,0)</f>
        <v/>
      </c>
      <c r="P12" s="10">
        <f>IF(OR(15=3,15=4),Assumptions!$B$9/2,0)</f>
        <v/>
      </c>
      <c r="Q12" s="10">
        <f>IF(OR(16=3,16=4),Assumptions!$B$9/2,0)</f>
        <v/>
      </c>
      <c r="R12" s="10">
        <f>IF(OR(17=3,17=4),Assumptions!$B$9/2,0)</f>
        <v/>
      </c>
      <c r="S12" s="10">
        <f>IF(OR(18=3,18=4),Assumptions!$B$9/2,0)</f>
        <v/>
      </c>
      <c r="T12" s="10">
        <f>IF(OR(19=3,19=4),Assumptions!$B$9/2,0)</f>
        <v/>
      </c>
      <c r="U12" s="10">
        <f>IF(OR(20=3,20=4),Assumptions!$B$9/2,0)</f>
        <v/>
      </c>
      <c r="V12" s="10">
        <f>IF(OR(21=3,21=4),Assumptions!$B$9/2,0)</f>
        <v/>
      </c>
      <c r="W12" s="10">
        <f>IF(OR(22=3,22=4),Assumptions!$B$9/2,0)</f>
        <v/>
      </c>
      <c r="X12" s="10">
        <f>IF(OR(23=3,23=4),Assumptions!$B$9/2,0)</f>
        <v/>
      </c>
      <c r="Y12" s="10">
        <f>IF(OR(24=3,24=4),Assumptions!$B$9/2,0)</f>
        <v/>
      </c>
      <c r="Z12" s="10">
        <f>IF(OR(25=3,25=4),Assumptions!$B$9/2,0)</f>
        <v/>
      </c>
      <c r="AA12" s="10">
        <f>IF(OR(26=3,26=4),Assumptions!$B$9/2,0)</f>
        <v/>
      </c>
      <c r="AB12" s="10">
        <f>IF(OR(27=3,27=4),Assumptions!$B$9/2,0)</f>
        <v/>
      </c>
      <c r="AC12" s="10">
        <f>IF(OR(28=3,28=4),Assumptions!$B$9/2,0)</f>
        <v/>
      </c>
      <c r="AD12" s="10">
        <f>IF(OR(29=3,29=4),Assumptions!$B$9/2,0)</f>
        <v/>
      </c>
      <c r="AE12" s="10">
        <f>IF(OR(30=3,30=4),Assumptions!$B$9/2,0)</f>
        <v/>
      </c>
      <c r="AF12" s="10">
        <f>IF(OR(31=3,31=4),Assumptions!$B$9/2,0)</f>
        <v/>
      </c>
      <c r="AG12" s="10">
        <f>IF(OR(32=3,32=4),Assumptions!$B$9/2,0)</f>
        <v/>
      </c>
      <c r="AH12" s="10">
        <f>IF(OR(33=3,33=4),Assumptions!$B$9/2,0)</f>
        <v/>
      </c>
      <c r="AI12" s="10">
        <f>IF(OR(34=3,34=4),Assumptions!$B$9/2,0)</f>
        <v/>
      </c>
      <c r="AJ12" s="10">
        <f>IF(OR(35=3,35=4),Assumptions!$B$9/2,0)</f>
        <v/>
      </c>
      <c r="AK12" s="10">
        <f>IF(OR(36=3,36=4),Assumptions!$B$9/2,0)</f>
        <v/>
      </c>
    </row>
    <row r="13">
      <c r="A13" s="2" t="inlineStr">
        <is>
          <t>Team &amp; operations</t>
        </is>
      </c>
      <c r="B13" s="10">
        <f>IF(1&gt;=5,Assumptions!$B$10,0)</f>
        <v/>
      </c>
      <c r="C13" s="10">
        <f>IF(2&gt;=5,Assumptions!$B$10,0)</f>
        <v/>
      </c>
      <c r="D13" s="10">
        <f>IF(3&gt;=5,Assumptions!$B$10,0)</f>
        <v/>
      </c>
      <c r="E13" s="10">
        <f>IF(4&gt;=5,Assumptions!$B$10,0)</f>
        <v/>
      </c>
      <c r="F13" s="10">
        <f>IF(5&gt;=5,Assumptions!$B$10,0)</f>
        <v/>
      </c>
      <c r="G13" s="10">
        <f>IF(6&gt;=5,Assumptions!$B$10,0)</f>
        <v/>
      </c>
      <c r="H13" s="10">
        <f>IF(7&gt;=5,Assumptions!$B$10,0)</f>
        <v/>
      </c>
      <c r="I13" s="10">
        <f>IF(8&gt;=5,Assumptions!$B$10,0)</f>
        <v/>
      </c>
      <c r="J13" s="10">
        <f>IF(9&gt;=5,Assumptions!$B$10,0)</f>
        <v/>
      </c>
      <c r="K13" s="10">
        <f>IF(10&gt;=5,Assumptions!$B$10,0)</f>
        <v/>
      </c>
      <c r="L13" s="10">
        <f>IF(11&gt;=5,Assumptions!$B$10,0)</f>
        <v/>
      </c>
      <c r="M13" s="10">
        <f>IF(12&gt;=5,Assumptions!$B$10,0)</f>
        <v/>
      </c>
      <c r="N13" s="10">
        <f>IF(13&gt;=5,Assumptions!$B$10,0)</f>
        <v/>
      </c>
      <c r="O13" s="10">
        <f>IF(14&gt;=5,Assumptions!$B$10,0)</f>
        <v/>
      </c>
      <c r="P13" s="10">
        <f>IF(15&gt;=5,Assumptions!$B$10,0)</f>
        <v/>
      </c>
      <c r="Q13" s="10">
        <f>IF(16&gt;=5,Assumptions!$B$10,0)</f>
        <v/>
      </c>
      <c r="R13" s="10">
        <f>IF(17&gt;=5,Assumptions!$B$10,0)</f>
        <v/>
      </c>
      <c r="S13" s="10">
        <f>IF(18&gt;=5,Assumptions!$B$10,0)</f>
        <v/>
      </c>
      <c r="T13" s="10">
        <f>IF(19&gt;=5,Assumptions!$B$10,0)</f>
        <v/>
      </c>
      <c r="U13" s="10">
        <f>IF(20&gt;=5,Assumptions!$B$10,0)</f>
        <v/>
      </c>
      <c r="V13" s="10">
        <f>IF(21&gt;=5,Assumptions!$B$10,0)</f>
        <v/>
      </c>
      <c r="W13" s="10">
        <f>IF(22&gt;=5,Assumptions!$B$10,0)</f>
        <v/>
      </c>
      <c r="X13" s="10">
        <f>IF(23&gt;=5,Assumptions!$B$10,0)</f>
        <v/>
      </c>
      <c r="Y13" s="10">
        <f>IF(24&gt;=5,Assumptions!$B$10,0)</f>
        <v/>
      </c>
      <c r="Z13" s="10">
        <f>IF(25&gt;=5,Assumptions!$B$10,0)</f>
        <v/>
      </c>
      <c r="AA13" s="10">
        <f>IF(26&gt;=5,Assumptions!$B$10,0)</f>
        <v/>
      </c>
      <c r="AB13" s="10">
        <f>IF(27&gt;=5,Assumptions!$B$10,0)</f>
        <v/>
      </c>
      <c r="AC13" s="10">
        <f>IF(28&gt;=5,Assumptions!$B$10,0)</f>
        <v/>
      </c>
      <c r="AD13" s="10">
        <f>IF(29&gt;=5,Assumptions!$B$10,0)</f>
        <v/>
      </c>
      <c r="AE13" s="10">
        <f>IF(30&gt;=5,Assumptions!$B$10,0)</f>
        <v/>
      </c>
      <c r="AF13" s="10">
        <f>IF(31&gt;=5,Assumptions!$B$10,0)</f>
        <v/>
      </c>
      <c r="AG13" s="10">
        <f>IF(32&gt;=5,Assumptions!$B$10,0)</f>
        <v/>
      </c>
      <c r="AH13" s="10">
        <f>IF(33&gt;=5,Assumptions!$B$10,0)</f>
        <v/>
      </c>
      <c r="AI13" s="10">
        <f>IF(34&gt;=5,Assumptions!$B$10,0)</f>
        <v/>
      </c>
      <c r="AJ13" s="10">
        <f>IF(35&gt;=5,Assumptions!$B$10,0)</f>
        <v/>
      </c>
      <c r="AK13" s="10">
        <f>IF(36&gt;=5,Assumptions!$B$10,0)</f>
        <v/>
      </c>
    </row>
    <row r="14">
      <c r="A14" s="2" t="inlineStr">
        <is>
          <t>Gateway costs</t>
        </is>
      </c>
      <c r="B14" s="10">
        <f>B4*Assumptions!$B$14</f>
        <v/>
      </c>
      <c r="C14" s="10">
        <f>C4*Assumptions!$B$14</f>
        <v/>
      </c>
      <c r="D14" s="10">
        <f>D4*Assumptions!$B$14</f>
        <v/>
      </c>
      <c r="E14" s="10">
        <f>E4*Assumptions!$B$14</f>
        <v/>
      </c>
      <c r="F14" s="10">
        <f>F4*Assumptions!$B$14</f>
        <v/>
      </c>
      <c r="G14" s="10">
        <f>G4*Assumptions!$B$14</f>
        <v/>
      </c>
      <c r="H14" s="10">
        <f>H4*Assumptions!$B$14</f>
        <v/>
      </c>
      <c r="I14" s="10">
        <f>I4*Assumptions!$B$14</f>
        <v/>
      </c>
      <c r="J14" s="10">
        <f>J4*Assumptions!$B$14</f>
        <v/>
      </c>
      <c r="K14" s="10">
        <f>K4*Assumptions!$B$14</f>
        <v/>
      </c>
      <c r="L14" s="10">
        <f>L4*Assumptions!$B$14</f>
        <v/>
      </c>
      <c r="M14" s="10">
        <f>M4*Assumptions!$B$14</f>
        <v/>
      </c>
      <c r="N14" s="10">
        <f>N4*Assumptions!$B$14</f>
        <v/>
      </c>
      <c r="O14" s="10">
        <f>O4*Assumptions!$B$14</f>
        <v/>
      </c>
      <c r="P14" s="10">
        <f>P4*Assumptions!$B$14</f>
        <v/>
      </c>
      <c r="Q14" s="10">
        <f>Q4*Assumptions!$B$14</f>
        <v/>
      </c>
      <c r="R14" s="10">
        <f>R4*Assumptions!$B$14</f>
        <v/>
      </c>
      <c r="S14" s="10">
        <f>S4*Assumptions!$B$14</f>
        <v/>
      </c>
      <c r="T14" s="10">
        <f>T4*Assumptions!$B$14</f>
        <v/>
      </c>
      <c r="U14" s="10">
        <f>U4*Assumptions!$B$14</f>
        <v/>
      </c>
      <c r="V14" s="10">
        <f>V4*Assumptions!$B$14</f>
        <v/>
      </c>
      <c r="W14" s="10">
        <f>W4*Assumptions!$B$14</f>
        <v/>
      </c>
      <c r="X14" s="10">
        <f>X4*Assumptions!$B$14</f>
        <v/>
      </c>
      <c r="Y14" s="10">
        <f>Y4*Assumptions!$B$14</f>
        <v/>
      </c>
      <c r="Z14" s="10">
        <f>Z4*Assumptions!$B$14</f>
        <v/>
      </c>
      <c r="AA14" s="10">
        <f>AA4*Assumptions!$B$14</f>
        <v/>
      </c>
      <c r="AB14" s="10">
        <f>AB4*Assumptions!$B$14</f>
        <v/>
      </c>
      <c r="AC14" s="10">
        <f>AC4*Assumptions!$B$14</f>
        <v/>
      </c>
      <c r="AD14" s="10">
        <f>AD4*Assumptions!$B$14</f>
        <v/>
      </c>
      <c r="AE14" s="10">
        <f>AE4*Assumptions!$B$14</f>
        <v/>
      </c>
      <c r="AF14" s="10">
        <f>AF4*Assumptions!$B$14</f>
        <v/>
      </c>
      <c r="AG14" s="10">
        <f>AG4*Assumptions!$B$14</f>
        <v/>
      </c>
      <c r="AH14" s="10">
        <f>AH4*Assumptions!$B$14</f>
        <v/>
      </c>
      <c r="AI14" s="10">
        <f>AI4*Assumptions!$B$14</f>
        <v/>
      </c>
      <c r="AJ14" s="10">
        <f>AJ4*Assumptions!$B$14</f>
        <v/>
      </c>
      <c r="AK14" s="10">
        <f>AK4*Assumptions!$B$14</f>
        <v/>
      </c>
    </row>
    <row r="15">
      <c r="A15" s="11" t="inlineStr">
        <is>
          <t>Total costs</t>
        </is>
      </c>
      <c r="B15" s="10">
        <f>SUM(B7:B14)</f>
        <v/>
      </c>
      <c r="C15" s="10">
        <f>SUM(C7:C14)</f>
        <v/>
      </c>
      <c r="D15" s="10">
        <f>SUM(D7:D14)</f>
        <v/>
      </c>
      <c r="E15" s="10">
        <f>SUM(E7:E14)</f>
        <v/>
      </c>
      <c r="F15" s="10">
        <f>SUM(F7:F14)</f>
        <v/>
      </c>
      <c r="G15" s="10">
        <f>SUM(G7:G14)</f>
        <v/>
      </c>
      <c r="H15" s="10">
        <f>SUM(H7:H14)</f>
        <v/>
      </c>
      <c r="I15" s="10">
        <f>SUM(I7:I14)</f>
        <v/>
      </c>
      <c r="J15" s="10">
        <f>SUM(J7:J14)</f>
        <v/>
      </c>
      <c r="K15" s="10">
        <f>SUM(K7:K14)</f>
        <v/>
      </c>
      <c r="L15" s="10">
        <f>SUM(L7:L14)</f>
        <v/>
      </c>
      <c r="M15" s="10">
        <f>SUM(M7:M14)</f>
        <v/>
      </c>
      <c r="N15" s="10">
        <f>SUM(N7:N14)</f>
        <v/>
      </c>
      <c r="O15" s="10">
        <f>SUM(O7:O14)</f>
        <v/>
      </c>
      <c r="P15" s="10">
        <f>SUM(P7:P14)</f>
        <v/>
      </c>
      <c r="Q15" s="10">
        <f>SUM(Q7:Q14)</f>
        <v/>
      </c>
      <c r="R15" s="10">
        <f>SUM(R7:R14)</f>
        <v/>
      </c>
      <c r="S15" s="10">
        <f>SUM(S7:S14)</f>
        <v/>
      </c>
      <c r="T15" s="10">
        <f>SUM(T7:T14)</f>
        <v/>
      </c>
      <c r="U15" s="10">
        <f>SUM(U7:U14)</f>
        <v/>
      </c>
      <c r="V15" s="10">
        <f>SUM(V7:V14)</f>
        <v/>
      </c>
      <c r="W15" s="10">
        <f>SUM(W7:W14)</f>
        <v/>
      </c>
      <c r="X15" s="10">
        <f>SUM(X7:X14)</f>
        <v/>
      </c>
      <c r="Y15" s="10">
        <f>SUM(Y7:Y14)</f>
        <v/>
      </c>
      <c r="Z15" s="10">
        <f>SUM(Z7:Z14)</f>
        <v/>
      </c>
      <c r="AA15" s="10">
        <f>SUM(AA7:AA14)</f>
        <v/>
      </c>
      <c r="AB15" s="10">
        <f>SUM(AB7:AB14)</f>
        <v/>
      </c>
      <c r="AC15" s="10">
        <f>SUM(AC7:AC14)</f>
        <v/>
      </c>
      <c r="AD15" s="10">
        <f>SUM(AD7:AD14)</f>
        <v/>
      </c>
      <c r="AE15" s="10">
        <f>SUM(AE7:AE14)</f>
        <v/>
      </c>
      <c r="AF15" s="10">
        <f>SUM(AF7:AF14)</f>
        <v/>
      </c>
      <c r="AG15" s="10">
        <f>SUM(AG7:AG14)</f>
        <v/>
      </c>
      <c r="AH15" s="10">
        <f>SUM(AH7:AH14)</f>
        <v/>
      </c>
      <c r="AI15" s="10">
        <f>SUM(AI7:AI14)</f>
        <v/>
      </c>
      <c r="AJ15" s="10">
        <f>SUM(AJ7:AJ14)</f>
        <v/>
      </c>
      <c r="AK15" s="10">
        <f>SUM(AK7:AK14)</f>
        <v/>
      </c>
    </row>
    <row r="16">
      <c r="A16" s="11" t="inlineStr">
        <is>
          <t>Net cash flow (operations)</t>
        </is>
      </c>
      <c r="B16" s="10">
        <f>B6-B15</f>
        <v/>
      </c>
      <c r="C16" s="10">
        <f>C6-C15</f>
        <v/>
      </c>
      <c r="D16" s="10">
        <f>D6-D15</f>
        <v/>
      </c>
      <c r="E16" s="10">
        <f>E6-E15</f>
        <v/>
      </c>
      <c r="F16" s="10">
        <f>F6-F15</f>
        <v/>
      </c>
      <c r="G16" s="10">
        <f>G6-G15</f>
        <v/>
      </c>
      <c r="H16" s="10">
        <f>H6-H15</f>
        <v/>
      </c>
      <c r="I16" s="10">
        <f>I6-I15</f>
        <v/>
      </c>
      <c r="J16" s="10">
        <f>J6-J15</f>
        <v/>
      </c>
      <c r="K16" s="10">
        <f>K6-K15</f>
        <v/>
      </c>
      <c r="L16" s="10">
        <f>L6-L15</f>
        <v/>
      </c>
      <c r="M16" s="10">
        <f>M6-M15</f>
        <v/>
      </c>
      <c r="N16" s="10">
        <f>N6-N15</f>
        <v/>
      </c>
      <c r="O16" s="10">
        <f>O6-O15</f>
        <v/>
      </c>
      <c r="P16" s="10">
        <f>P6-P15</f>
        <v/>
      </c>
      <c r="Q16" s="10">
        <f>Q6-Q15</f>
        <v/>
      </c>
      <c r="R16" s="10">
        <f>R6-R15</f>
        <v/>
      </c>
      <c r="S16" s="10">
        <f>S6-S15</f>
        <v/>
      </c>
      <c r="T16" s="10">
        <f>T6-T15</f>
        <v/>
      </c>
      <c r="U16" s="10">
        <f>U6-U15</f>
        <v/>
      </c>
      <c r="V16" s="10">
        <f>V6-V15</f>
        <v/>
      </c>
      <c r="W16" s="10">
        <f>W6-W15</f>
        <v/>
      </c>
      <c r="X16" s="10">
        <f>X6-X15</f>
        <v/>
      </c>
      <c r="Y16" s="10">
        <f>Y6-Y15</f>
        <v/>
      </c>
      <c r="Z16" s="10">
        <f>Z6-Z15</f>
        <v/>
      </c>
      <c r="AA16" s="10">
        <f>AA6-AA15</f>
        <v/>
      </c>
      <c r="AB16" s="10">
        <f>AB6-AB15</f>
        <v/>
      </c>
      <c r="AC16" s="10">
        <f>AC6-AC15</f>
        <v/>
      </c>
      <c r="AD16" s="10">
        <f>AD6-AD15</f>
        <v/>
      </c>
      <c r="AE16" s="10">
        <f>AE6-AE15</f>
        <v/>
      </c>
      <c r="AF16" s="10">
        <f>AF6-AF15</f>
        <v/>
      </c>
      <c r="AG16" s="10">
        <f>AG6-AG15</f>
        <v/>
      </c>
      <c r="AH16" s="10">
        <f>AH6-AH15</f>
        <v/>
      </c>
      <c r="AI16" s="10">
        <f>AI6-AI15</f>
        <v/>
      </c>
      <c r="AJ16" s="10">
        <f>AJ6-AJ15</f>
        <v/>
      </c>
      <c r="AK16" s="10">
        <f>AK6-AK15</f>
        <v/>
      </c>
    </row>
    <row r="17">
      <c r="A17" s="2" t="inlineStr">
        <is>
          <t>Funding in</t>
        </is>
      </c>
      <c r="B17" s="10">
        <f>IF(1=1,Assumptions!$B$2,0)</f>
        <v/>
      </c>
      <c r="C17" s="10">
        <f>IF(2=1,Assumptions!$B$2,0)</f>
        <v/>
      </c>
      <c r="D17" s="10">
        <f>IF(3=1,Assumptions!$B$2,0)</f>
        <v/>
      </c>
      <c r="E17" s="10">
        <f>IF(4=1,Assumptions!$B$2,0)</f>
        <v/>
      </c>
      <c r="F17" s="10">
        <f>IF(5=1,Assumptions!$B$2,0)</f>
        <v/>
      </c>
      <c r="G17" s="10">
        <f>IF(6=1,Assumptions!$B$2,0)</f>
        <v/>
      </c>
      <c r="H17" s="10">
        <f>IF(7=1,Assumptions!$B$2,0)</f>
        <v/>
      </c>
      <c r="I17" s="10">
        <f>IF(8=1,Assumptions!$B$2,0)</f>
        <v/>
      </c>
      <c r="J17" s="10">
        <f>IF(9=1,Assumptions!$B$2,0)</f>
        <v/>
      </c>
      <c r="K17" s="10">
        <f>IF(10=1,Assumptions!$B$2,0)</f>
        <v/>
      </c>
      <c r="L17" s="10">
        <f>IF(11=1,Assumptions!$B$2,0)</f>
        <v/>
      </c>
      <c r="M17" s="10">
        <f>IF(12=1,Assumptions!$B$2,0)</f>
        <v/>
      </c>
      <c r="N17" s="10">
        <f>IF(13=1,Assumptions!$B$2,0)</f>
        <v/>
      </c>
      <c r="O17" s="10">
        <f>IF(14=1,Assumptions!$B$2,0)</f>
        <v/>
      </c>
      <c r="P17" s="10">
        <f>IF(15=1,Assumptions!$B$2,0)</f>
        <v/>
      </c>
      <c r="Q17" s="10">
        <f>IF(16=1,Assumptions!$B$2,0)</f>
        <v/>
      </c>
      <c r="R17" s="10">
        <f>IF(17=1,Assumptions!$B$2,0)</f>
        <v/>
      </c>
      <c r="S17" s="10">
        <f>IF(18=1,Assumptions!$B$2,0)</f>
        <v/>
      </c>
      <c r="T17" s="10">
        <f>IF(19=1,Assumptions!$B$2,0)</f>
        <v/>
      </c>
      <c r="U17" s="10">
        <f>IF(20=1,Assumptions!$B$2,0)</f>
        <v/>
      </c>
      <c r="V17" s="10">
        <f>IF(21=1,Assumptions!$B$2,0)</f>
        <v/>
      </c>
      <c r="W17" s="10">
        <f>IF(22=1,Assumptions!$B$2,0)</f>
        <v/>
      </c>
      <c r="X17" s="10">
        <f>IF(23=1,Assumptions!$B$2,0)</f>
        <v/>
      </c>
      <c r="Y17" s="10">
        <f>IF(24=1,Assumptions!$B$2,0)</f>
        <v/>
      </c>
      <c r="Z17" s="10">
        <f>IF(25=1,Assumptions!$B$2,0)</f>
        <v/>
      </c>
      <c r="AA17" s="10">
        <f>IF(26=1,Assumptions!$B$2,0)</f>
        <v/>
      </c>
      <c r="AB17" s="10">
        <f>IF(27=1,Assumptions!$B$2,0)</f>
        <v/>
      </c>
      <c r="AC17" s="10">
        <f>IF(28=1,Assumptions!$B$2,0)</f>
        <v/>
      </c>
      <c r="AD17" s="10">
        <f>IF(29=1,Assumptions!$B$2,0)</f>
        <v/>
      </c>
      <c r="AE17" s="10">
        <f>IF(30=1,Assumptions!$B$2,0)</f>
        <v/>
      </c>
      <c r="AF17" s="10">
        <f>IF(31=1,Assumptions!$B$2,0)</f>
        <v/>
      </c>
      <c r="AG17" s="10">
        <f>IF(32=1,Assumptions!$B$2,0)</f>
        <v/>
      </c>
      <c r="AH17" s="10">
        <f>IF(33=1,Assumptions!$B$2,0)</f>
        <v/>
      </c>
      <c r="AI17" s="10">
        <f>IF(34=1,Assumptions!$B$2,0)</f>
        <v/>
      </c>
      <c r="AJ17" s="10">
        <f>IF(35=1,Assumptions!$B$2,0)</f>
        <v/>
      </c>
      <c r="AK17" s="10">
        <f>IF(36=1,Assumptions!$B$2,0)</f>
        <v/>
      </c>
    </row>
    <row r="18">
      <c r="A18" s="11" t="inlineStr">
        <is>
          <t>Closing cash</t>
        </is>
      </c>
      <c r="B18" s="10">
        <f>B16+B17</f>
        <v/>
      </c>
      <c r="C18" s="10">
        <f>B18+C16+C17</f>
        <v/>
      </c>
      <c r="D18" s="10">
        <f>C18+D16+D17</f>
        <v/>
      </c>
      <c r="E18" s="10">
        <f>D18+E16+E17</f>
        <v/>
      </c>
      <c r="F18" s="10">
        <f>E18+F16+F17</f>
        <v/>
      </c>
      <c r="G18" s="10">
        <f>F18+G16+G17</f>
        <v/>
      </c>
      <c r="H18" s="10">
        <f>G18+H16+H17</f>
        <v/>
      </c>
      <c r="I18" s="10">
        <f>H18+I16+I17</f>
        <v/>
      </c>
      <c r="J18" s="10">
        <f>I18+J16+J17</f>
        <v/>
      </c>
      <c r="K18" s="10">
        <f>J18+K16+K17</f>
        <v/>
      </c>
      <c r="L18" s="10">
        <f>K18+L16+L17</f>
        <v/>
      </c>
      <c r="M18" s="10">
        <f>L18+M16+M17</f>
        <v/>
      </c>
      <c r="N18" s="10">
        <f>M18+N16+N17</f>
        <v/>
      </c>
      <c r="O18" s="10">
        <f>N18+O16+O17</f>
        <v/>
      </c>
      <c r="P18" s="10">
        <f>O18+P16+P17</f>
        <v/>
      </c>
      <c r="Q18" s="10">
        <f>P18+Q16+Q17</f>
        <v/>
      </c>
      <c r="R18" s="10">
        <f>Q18+R16+R17</f>
        <v/>
      </c>
      <c r="S18" s="10">
        <f>R18+S16+S17</f>
        <v/>
      </c>
      <c r="T18" s="10">
        <f>S18+T16+T17</f>
        <v/>
      </c>
      <c r="U18" s="10">
        <f>T18+U16+U17</f>
        <v/>
      </c>
      <c r="V18" s="10">
        <f>U18+V16+V17</f>
        <v/>
      </c>
      <c r="W18" s="10">
        <f>V18+W16+W17</f>
        <v/>
      </c>
      <c r="X18" s="10">
        <f>W18+X16+X17</f>
        <v/>
      </c>
      <c r="Y18" s="10">
        <f>X18+Y16+Y17</f>
        <v/>
      </c>
      <c r="Z18" s="10">
        <f>Y18+Z16+Z17</f>
        <v/>
      </c>
      <c r="AA18" s="10">
        <f>Z18+AA16+AA17</f>
        <v/>
      </c>
      <c r="AB18" s="10">
        <f>AA18+AB16+AB17</f>
        <v/>
      </c>
      <c r="AC18" s="10">
        <f>AB18+AC16+AC17</f>
        <v/>
      </c>
      <c r="AD18" s="10">
        <f>AC18+AD16+AD17</f>
        <v/>
      </c>
      <c r="AE18" s="10">
        <f>AD18+AE16+AE17</f>
        <v/>
      </c>
      <c r="AF18" s="10">
        <f>AE18+AF16+AF17</f>
        <v/>
      </c>
      <c r="AG18" s="10">
        <f>AF18+AG16+AG17</f>
        <v/>
      </c>
      <c r="AH18" s="10">
        <f>AG18+AH16+AH17</f>
        <v/>
      </c>
      <c r="AI18" s="10">
        <f>AH18+AI16+AI17</f>
        <v/>
      </c>
      <c r="AJ18" s="10">
        <f>AI18+AJ16+AJ17</f>
        <v/>
      </c>
      <c r="AK18" s="10">
        <f>AJ18+AK16+AK17</f>
        <v/>
      </c>
    </row>
    <row r="19">
      <c r="A19" s="2" t="inlineStr">
        <is>
          <t>Cumulative operating result</t>
        </is>
      </c>
      <c r="B19" s="10">
        <f>B16</f>
        <v/>
      </c>
      <c r="C19" s="10">
        <f>B19+C16</f>
        <v/>
      </c>
      <c r="D19" s="10">
        <f>C19+D16</f>
        <v/>
      </c>
      <c r="E19" s="10">
        <f>D19+E16</f>
        <v/>
      </c>
      <c r="F19" s="10">
        <f>E19+F16</f>
        <v/>
      </c>
      <c r="G19" s="10">
        <f>F19+G16</f>
        <v/>
      </c>
      <c r="H19" s="10">
        <f>G19+H16</f>
        <v/>
      </c>
      <c r="I19" s="10">
        <f>H19+I16</f>
        <v/>
      </c>
      <c r="J19" s="10">
        <f>I19+J16</f>
        <v/>
      </c>
      <c r="K19" s="10">
        <f>J19+K16</f>
        <v/>
      </c>
      <c r="L19" s="10">
        <f>K19+L16</f>
        <v/>
      </c>
      <c r="M19" s="10">
        <f>L19+M16</f>
        <v/>
      </c>
      <c r="N19" s="10">
        <f>M19+N16</f>
        <v/>
      </c>
      <c r="O19" s="10">
        <f>N19+O16</f>
        <v/>
      </c>
      <c r="P19" s="10">
        <f>O19+P16</f>
        <v/>
      </c>
      <c r="Q19" s="10">
        <f>P19+Q16</f>
        <v/>
      </c>
      <c r="R19" s="10">
        <f>Q19+R16</f>
        <v/>
      </c>
      <c r="S19" s="10">
        <f>R19+S16</f>
        <v/>
      </c>
      <c r="T19" s="10">
        <f>S19+T16</f>
        <v/>
      </c>
      <c r="U19" s="10">
        <f>T19+U16</f>
        <v/>
      </c>
      <c r="V19" s="10">
        <f>U19+V16</f>
        <v/>
      </c>
      <c r="W19" s="10">
        <f>V19+W16</f>
        <v/>
      </c>
      <c r="X19" s="10">
        <f>W19+X16</f>
        <v/>
      </c>
      <c r="Y19" s="10">
        <f>X19+Y16</f>
        <v/>
      </c>
      <c r="Z19" s="10">
        <f>Y19+Z16</f>
        <v/>
      </c>
      <c r="AA19" s="10">
        <f>Z19+AA16</f>
        <v/>
      </c>
      <c r="AB19" s="10">
        <f>AA19+AB16</f>
        <v/>
      </c>
      <c r="AC19" s="10">
        <f>AB19+AC16</f>
        <v/>
      </c>
      <c r="AD19" s="10">
        <f>AC19+AD16</f>
        <v/>
      </c>
      <c r="AE19" s="10">
        <f>AD19+AE16</f>
        <v/>
      </c>
      <c r="AF19" s="10">
        <f>AE19+AF16</f>
        <v/>
      </c>
      <c r="AG19" s="10">
        <f>AF19+AG16</f>
        <v/>
      </c>
      <c r="AH19" s="10">
        <f>AG19+AH16</f>
        <v/>
      </c>
      <c r="AI19" s="10">
        <f>AH19+AI16</f>
        <v/>
      </c>
      <c r="AJ19" s="10">
        <f>AI19+AJ16</f>
        <v/>
      </c>
      <c r="AK19" s="10">
        <f>AJ19+AK16</f>
        <v/>
      </c>
    </row>
  </sheetData>
  <conditionalFormatting sqref="B18:AK18">
    <cfRule type="expression" priority="1" dxfId="0">
      <formula>B18&lt;0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2026-09-29T21:02:20Z</dcterms:created>
  <dcterms:modified xmlns:dcterms="http://purl.org/dc/terms/" xmlns:xsi="http://www.w3.org/2001/XMLSchema-instance" xsi:type="dcterms:W3CDTF">2026-09-29T21:02:20Z</dcterms:modified>
</cp:coreProperties>
</file>